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Documents\Educ Nat\publications persos\Articles\Article statistiques et société\Version 1.0 article\"/>
    </mc:Choice>
  </mc:AlternateContent>
  <xr:revisionPtr revIDLastSave="0" documentId="13_ncr:1_{475176B8-3153-488B-9DE5-9B6C3919A3F1}" xr6:coauthVersionLast="47" xr6:coauthVersionMax="47" xr10:uidLastSave="{00000000-0000-0000-0000-000000000000}"/>
  <bookViews>
    <workbookView xWindow="-108" yWindow="-108" windowWidth="23256" windowHeight="12456" tabRatio="724" firstSheet="4" activeTab="11" xr2:uid="{8FB7EA6C-AA37-4431-BB67-BE02842BD273}"/>
  </bookViews>
  <sheets>
    <sheet name="Sommaire" sheetId="12" r:id="rId1"/>
    <sheet name="A- 1stclass" sheetId="4" r:id="rId2"/>
    <sheet name="B - Affordable " sheetId="2" r:id="rId3"/>
    <sheet name="C1-Ark Mastery" sheetId="13" r:id="rId4"/>
    <sheet name="C2-Ark Mastery" sheetId="3" r:id="rId5"/>
    <sheet name="D-Catch up" sheetId="5" r:id="rId6"/>
    <sheet name="F-ICCAMS" sheetId="6" r:id="rId7"/>
    <sheet name="G-Mathematical R" sheetId="16" r:id="rId8"/>
    <sheet name="H-Maths Champion" sheetId="8" r:id="rId9"/>
    <sheet name="I-Shared Math" sheetId="9" r:id="rId10"/>
    <sheet name="J-Tutor Trust" sheetId="10" r:id="rId11"/>
    <sheet name="Coefficients ICC" sheetId="17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K10" i="17" s="1"/>
  <c r="J8" i="17"/>
  <c r="J10" i="17" s="1"/>
  <c r="J9" i="17" l="1"/>
  <c r="J11" i="17"/>
  <c r="K9" i="17"/>
  <c r="K11" i="17"/>
  <c r="E13" i="17" l="1"/>
  <c r="E12" i="17"/>
  <c r="E11" i="17"/>
  <c r="E10" i="17"/>
  <c r="E9" i="17"/>
  <c r="E8" i="17"/>
  <c r="E7" i="17"/>
  <c r="E6" i="17"/>
  <c r="D5" i="17"/>
  <c r="C5" i="17"/>
  <c r="E4" i="17"/>
  <c r="E5" i="17" l="1"/>
  <c r="F12" i="6"/>
  <c r="E12" i="6"/>
  <c r="D12" i="6"/>
  <c r="C12" i="6"/>
  <c r="E21" i="5"/>
  <c r="E17" i="5"/>
  <c r="D7" i="16" l="1"/>
  <c r="C7" i="16"/>
  <c r="A12" i="16" s="1"/>
  <c r="C12" i="16" s="1"/>
  <c r="A7" i="16"/>
  <c r="B7" i="16" s="1"/>
  <c r="E7" i="16" l="1"/>
  <c r="B12" i="16" s="1"/>
  <c r="D12" i="16" s="1"/>
  <c r="E12" i="16"/>
  <c r="F12" i="16" l="1"/>
  <c r="H12" i="16" s="1"/>
  <c r="J12" i="16" s="1"/>
  <c r="N12" i="16" l="1"/>
  <c r="L12" i="16"/>
  <c r="G12" i="16"/>
  <c r="I12" i="16" s="1"/>
  <c r="M12" i="16" l="1"/>
  <c r="K12" i="16"/>
  <c r="C8" i="6" l="1"/>
  <c r="D7" i="13"/>
  <c r="C7" i="13"/>
  <c r="C11" i="2" l="1"/>
  <c r="B11" i="2"/>
  <c r="A11" i="2"/>
  <c r="C9" i="10" l="1"/>
  <c r="D9" i="10"/>
  <c r="E9" i="10"/>
  <c r="F9" i="10"/>
  <c r="C10" i="9"/>
  <c r="E10" i="9" s="1"/>
  <c r="D10" i="9"/>
  <c r="J10" i="9"/>
  <c r="M10" i="9" s="1"/>
  <c r="K10" i="9"/>
  <c r="L10" i="9" l="1"/>
  <c r="F10" i="9"/>
  <c r="C9" i="8"/>
  <c r="E9" i="8" s="1"/>
  <c r="D9" i="8"/>
  <c r="F9" i="8"/>
  <c r="D8" i="6"/>
  <c r="E8" i="6"/>
  <c r="F8" i="6"/>
  <c r="E9" i="5"/>
  <c r="G9" i="5" s="1"/>
  <c r="F9" i="5"/>
  <c r="B10" i="4"/>
  <c r="C10" i="4"/>
  <c r="D10" i="4"/>
  <c r="B11" i="4"/>
  <c r="C11" i="4"/>
  <c r="D11" i="4"/>
  <c r="C7" i="3"/>
  <c r="D7" i="3"/>
</calcChain>
</file>

<file path=xl/sharedStrings.xml><?xml version="1.0" encoding="utf-8"?>
<sst xmlns="http://schemas.openxmlformats.org/spreadsheetml/2006/main" count="257" uniqueCount="149">
  <si>
    <t>Sup IC</t>
  </si>
  <si>
    <t>ES</t>
  </si>
  <si>
    <t>b</t>
  </si>
  <si>
    <t>borne sup</t>
  </si>
  <si>
    <t>borne inf</t>
  </si>
  <si>
    <t>Condition coefficient</t>
  </si>
  <si>
    <t xml:space="preserve">Les scores sont standardiés donc le coefficient de régression  de la variable traitement est égal à la taille d'effet. </t>
  </si>
  <si>
    <r>
      <rPr>
        <u/>
        <sz val="11"/>
        <color rgb="FF000000"/>
        <rFont val="Calibri"/>
        <family val="2"/>
      </rPr>
      <t>Premier recalcul</t>
    </r>
    <r>
      <rPr>
        <sz val="11"/>
        <color theme="1"/>
        <rFont val="Calibri"/>
        <family val="2"/>
        <scheme val="minor"/>
      </rPr>
      <t xml:space="preserve"> : avec les deux variances (école et élève), résultat </t>
    </r>
    <r>
      <rPr>
        <b/>
        <sz val="11"/>
        <color rgb="FF000000"/>
        <rFont val="Calibri"/>
        <family val="2"/>
      </rPr>
      <t>ES total</t>
    </r>
    <r>
      <rPr>
        <sz val="11"/>
        <color theme="1"/>
        <rFont val="Calibri"/>
        <family val="2"/>
        <scheme val="minor"/>
      </rPr>
      <t xml:space="preserve"> pour le rapport</t>
    </r>
  </si>
  <si>
    <t>ES within</t>
  </si>
  <si>
    <t>ES total</t>
  </si>
  <si>
    <t>variance TA</t>
  </si>
  <si>
    <t>Tableau 8 et 9 (approche classique)</t>
  </si>
  <si>
    <t>Le coefficient condition est calculé à partir d'un modèle linéaire qui inclut de nombreuses variables explicatives comme le statut socioéconomique des élèves (éligibles au FSM ou non)</t>
  </si>
  <si>
    <t>Sup CI</t>
  </si>
  <si>
    <t>Inf IC</t>
  </si>
  <si>
    <t>Ecart-type</t>
  </si>
  <si>
    <t>Conditional full model</t>
  </si>
  <si>
    <t>corr :</t>
  </si>
  <si>
    <t>ss corr :</t>
  </si>
  <si>
    <t>corr</t>
  </si>
  <si>
    <t>ss corr</t>
  </si>
  <si>
    <t>Borne supérieure</t>
  </si>
  <si>
    <t>Borne inférieure</t>
  </si>
  <si>
    <t>erreur standard</t>
  </si>
  <si>
    <t>variance</t>
  </si>
  <si>
    <t>g</t>
  </si>
  <si>
    <t>n=N/M</t>
  </si>
  <si>
    <t>En utilisant les valeurs données dans le paragraphe au-dessus du tableau 10</t>
  </si>
  <si>
    <t>Year 5</t>
  </si>
  <si>
    <t>Year 3</t>
  </si>
  <si>
    <t>Shared Maths</t>
  </si>
  <si>
    <t>w</t>
  </si>
  <si>
    <r>
      <t xml:space="preserve">Les données publiées par les études et utilisées dans les calculs sont écrites en </t>
    </r>
    <r>
      <rPr>
        <b/>
        <sz val="11"/>
        <color theme="1"/>
        <rFont val="Calibri"/>
        <family val="2"/>
        <scheme val="minor"/>
      </rPr>
      <t>gras</t>
    </r>
    <r>
      <rPr>
        <sz val="11"/>
        <color theme="1"/>
        <rFont val="Calibri"/>
        <family val="2"/>
        <scheme val="minor"/>
      </rPr>
      <t>.</t>
    </r>
  </si>
  <si>
    <t>A</t>
  </si>
  <si>
    <t>1stClass@Number</t>
  </si>
  <si>
    <t>B</t>
  </si>
  <si>
    <t>Affordable Maths Tuition</t>
  </si>
  <si>
    <t>C1</t>
  </si>
  <si>
    <t>Ark Mathematics Mastery primary</t>
  </si>
  <si>
    <t>C2</t>
  </si>
  <si>
    <t>Ark Mathematics Mastery secondary</t>
  </si>
  <si>
    <t>D</t>
  </si>
  <si>
    <t>Catch up numeracy</t>
  </si>
  <si>
    <t>F</t>
  </si>
  <si>
    <t xml:space="preserve"> ICCAMS</t>
  </si>
  <si>
    <t>G</t>
  </si>
  <si>
    <t>Mathematical Reasoning</t>
  </si>
  <si>
    <t>H</t>
  </si>
  <si>
    <t>Maths Champions</t>
  </si>
  <si>
    <t>I</t>
  </si>
  <si>
    <t>J</t>
  </si>
  <si>
    <t>Tutor Trust Affordable Tutoring</t>
  </si>
  <si>
    <t>Quand plusieures calculs ont été conduits, les résultats surlignés en jaune se rapprochent le plus des résultats publiés dans le résumé du rapport.</t>
  </si>
  <si>
    <r>
      <rPr>
        <u/>
        <sz val="11"/>
        <color rgb="FF000000"/>
        <rFont val="Calibri"/>
        <family val="2"/>
      </rPr>
      <t>Deuxième recalcul</t>
    </r>
    <r>
      <rPr>
        <sz val="11"/>
        <color theme="1"/>
        <rFont val="Calibri"/>
        <family val="2"/>
        <scheme val="minor"/>
      </rPr>
      <t xml:space="preserve"> : avec la variance élève uniquement, résultat </t>
    </r>
    <r>
      <rPr>
        <b/>
        <sz val="11"/>
        <color rgb="FF000000"/>
        <rFont val="Calibri"/>
        <family val="2"/>
      </rPr>
      <t>ES within</t>
    </r>
    <r>
      <rPr>
        <sz val="11"/>
        <color theme="1"/>
        <rFont val="Calibri"/>
        <family val="2"/>
        <scheme val="minor"/>
      </rPr>
      <t xml:space="preserve"> pour le rapport, identifié comme le g de Hedges et donné comme résultat principal</t>
    </r>
    <r>
      <rPr>
        <sz val="11"/>
        <color rgb="FF000000"/>
        <rFont val="Calibri"/>
        <family val="2"/>
      </rPr>
      <t xml:space="preserve"> (dans le résumé)</t>
    </r>
  </si>
  <si>
    <t>En utilisant les valeurs du tableau 8 (différence des moyennes ajustée) et 11 (variances)</t>
  </si>
  <si>
    <t>Différence des moyennes</t>
  </si>
  <si>
    <t>A- 1stclass at numbers</t>
  </si>
  <si>
    <t>B - Affordable online maths tuition</t>
  </si>
  <si>
    <t>C1 - Ark Mastery Mathematics - Primary</t>
  </si>
  <si>
    <t>C2 - Ark Mastery Mathematics - Secondary</t>
  </si>
  <si>
    <t>D - Catch Up Numeracy</t>
  </si>
  <si>
    <t>variance établissement</t>
  </si>
  <si>
    <t>variance élève</t>
  </si>
  <si>
    <t>Ecart-type élève</t>
  </si>
  <si>
    <t>Ecart-type établissement</t>
  </si>
  <si>
    <t>Inf IC = borne inférieure de l'intervalle de confiance de l'estimation présentée à gauche</t>
  </si>
  <si>
    <t>Sup IC = borne supérieure de l'intervalle de confiance de l'estimation présentée à gauche</t>
  </si>
  <si>
    <t>b = coefficient "condition"</t>
  </si>
  <si>
    <t>TA = Teacher assistant</t>
  </si>
  <si>
    <t>variance groupe ?</t>
  </si>
  <si>
    <t>Dans ces tableaux, une variance Randomisation Group est présentée, qui n'est pas excplicité dans le texte.</t>
  </si>
  <si>
    <t xml:space="preserve">ES </t>
  </si>
  <si>
    <t>F -  ICCAMS</t>
  </si>
  <si>
    <t>G - Mathematical reasoning</t>
  </si>
  <si>
    <t>ni</t>
  </si>
  <si>
    <t>nc</t>
  </si>
  <si>
    <t>mi-mc</t>
  </si>
  <si>
    <t>Mi</t>
  </si>
  <si>
    <t>Mc</t>
  </si>
  <si>
    <t>Vi</t>
  </si>
  <si>
    <t>Vc</t>
  </si>
  <si>
    <t>ρICC</t>
  </si>
  <si>
    <t>N =ni+nc</t>
  </si>
  <si>
    <t>M = Mi+Mc</t>
  </si>
  <si>
    <t>R</t>
  </si>
  <si>
    <t>calculs sans correction pour regroupement</t>
  </si>
  <si>
    <t>calculs avec correction pour regroupement</t>
  </si>
  <si>
    <t xml:space="preserve"> </t>
  </si>
  <si>
    <t>corr (21)</t>
  </si>
  <si>
    <t>corr (3)</t>
  </si>
  <si>
    <t>corr (22) et (26)</t>
  </si>
  <si>
    <t>V (2)</t>
  </si>
  <si>
    <t>s (2)</t>
  </si>
  <si>
    <t>corr (20) et (20 bis)</t>
  </si>
  <si>
    <t xml:space="preserve">corr </t>
  </si>
  <si>
    <t>H - Maths Champion</t>
  </si>
  <si>
    <t>En utilisant les valeurs données dans le paragraphe au-dessus du tableau 10.</t>
  </si>
  <si>
    <t>Les recalculs sont conduits avec b ajusté aux scores prétests et variances non ajustées</t>
  </si>
  <si>
    <t>I - Shared Maths</t>
  </si>
  <si>
    <t>J - Tutor Trust</t>
  </si>
  <si>
    <t>ES =  taille d'effet</t>
  </si>
  <si>
    <t>Recalculs pour les 11 rapports EEF</t>
  </si>
  <si>
    <t>Calcul del'ICC</t>
  </si>
  <si>
    <t>Tableau 5 (approche Baysienne)</t>
  </si>
  <si>
    <t>variance groupe</t>
  </si>
  <si>
    <t>Variance totale</t>
  </si>
  <si>
    <t>Null model (empty)</t>
  </si>
  <si>
    <t>g de hedges</t>
  </si>
  <si>
    <t>ICC recalculé</t>
  </si>
  <si>
    <t>ICC publié</t>
  </si>
  <si>
    <t xml:space="preserve"> ICCAMS (modèle complet)</t>
  </si>
  <si>
    <t>ICCAMS (modèle vide)</t>
  </si>
  <si>
    <t>x</t>
  </si>
  <si>
    <t>Shared Maths Year 3, non ajusté</t>
  </si>
  <si>
    <t>Shared Maths Year 3,  ajusté</t>
  </si>
  <si>
    <t>Shared Maths Year 5, non ajusté</t>
  </si>
  <si>
    <t>Shared Maths Year 5,  ajusté</t>
  </si>
  <si>
    <t>Recacluls des coefficients de corrélation intra classe (ICC)</t>
  </si>
  <si>
    <t xml:space="preserve">Les scores sont standardisés donc le coefficient de régression  de la variable traitement est égal à la taille d'effet. </t>
  </si>
  <si>
    <t>Erreur Type</t>
  </si>
  <si>
    <t>Les numéros des équations sont celles présentées dans l'annexe 3.</t>
  </si>
  <si>
    <t>df</t>
  </si>
  <si>
    <t>nombre de sujets dans le groupe intervention</t>
  </si>
  <si>
    <t>différence des moyennes entre les groupes intervention et contrôle</t>
  </si>
  <si>
    <t>nombre de sujets dans le groupe contrôle</t>
  </si>
  <si>
    <t>nombre d'établissements dans le groupe intervention</t>
  </si>
  <si>
    <t>nombre d'établissements dans le groupe contrôle</t>
  </si>
  <si>
    <t>variance des scores des sujets du groupe intervention</t>
  </si>
  <si>
    <t>variance des scores des sujets du groupe contrôle</t>
  </si>
  <si>
    <t>coefficient de corrélation intra classe</t>
  </si>
  <si>
    <t>coefficient de corrélation score prétest / score post test</t>
  </si>
  <si>
    <t>degré de liberté</t>
  </si>
  <si>
    <t>facteur correctif</t>
  </si>
  <si>
    <t>g de Hedges</t>
  </si>
  <si>
    <t>Intervalle de confiance</t>
  </si>
  <si>
    <t>Recalculs des coefficients intra-classe ICC</t>
  </si>
  <si>
    <t>Tableau 8 et 9 de l'annexe E (approche classique)</t>
  </si>
  <si>
    <t>Tableau 5 de l'annexe E (approche Baysienne)</t>
  </si>
  <si>
    <t>Recalculs des coefficients ICC</t>
  </si>
  <si>
    <t>TA</t>
  </si>
  <si>
    <t>Groupe</t>
  </si>
  <si>
    <t>Etablissement</t>
  </si>
  <si>
    <t>TA : Teacher Assistant</t>
  </si>
  <si>
    <t>Variance groupe</t>
  </si>
  <si>
    <t>Variance school</t>
  </si>
  <si>
    <t>Variance TA</t>
  </si>
  <si>
    <t>Variance student</t>
  </si>
  <si>
    <t>D Catch Up Numeracy</t>
  </si>
  <si>
    <t>ICC publié Tableau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</si>
</sst>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3" fillId="0" borderId="0" xfId="1"/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3" fillId="0" borderId="0" xfId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0" xfId="0" applyFont="1"/>
    <xf numFmtId="0" fontId="0" fillId="0" borderId="1" xfId="0" applyBorder="1" applyAlignment="1">
      <alignment horizontal="right"/>
    </xf>
    <xf numFmtId="0" fontId="3" fillId="0" borderId="0" xfId="1" applyAlignment="1">
      <alignment horizontal="left" vertical="top" wrapText="1"/>
    </xf>
    <xf numFmtId="0" fontId="4" fillId="0" borderId="6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2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2"/>
    <xf numFmtId="0" fontId="0" fillId="0" borderId="0" xfId="0" applyFont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8" fillId="0" borderId="0" xfId="1" applyFont="1" applyBorder="1"/>
    <xf numFmtId="0" fontId="3" fillId="0" borderId="0" xfId="1" applyBorder="1"/>
    <xf numFmtId="164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3">
    <cellStyle name="Lien hypertexte" xfId="2" builtinId="8"/>
    <cellStyle name="Normal" xfId="0" builtinId="0"/>
    <cellStyle name="Normal 2" xfId="1" xr:uid="{8FBE5950-9C0A-4E84-9BC8-6F147B580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20D2-39A3-4DCB-974D-A538E5F3ECCA}">
  <dimension ref="A1:B22"/>
  <sheetViews>
    <sheetView workbookViewId="0">
      <selection activeCell="G17" sqref="G17"/>
    </sheetView>
  </sheetViews>
  <sheetFormatPr baseColWidth="10" defaultRowHeight="14.4" x14ac:dyDescent="0.3"/>
  <cols>
    <col min="1" max="1" width="4.5546875" customWidth="1"/>
    <col min="2" max="2" width="46.5546875" customWidth="1"/>
  </cols>
  <sheetData>
    <row r="1" spans="1:2" ht="18" x14ac:dyDescent="0.35">
      <c r="A1" s="32" t="s">
        <v>101</v>
      </c>
    </row>
    <row r="3" spans="1:2" x14ac:dyDescent="0.3">
      <c r="A3" t="s">
        <v>32</v>
      </c>
    </row>
    <row r="4" spans="1:2" x14ac:dyDescent="0.3">
      <c r="A4" t="s">
        <v>52</v>
      </c>
    </row>
    <row r="6" spans="1:2" ht="18" customHeight="1" x14ac:dyDescent="0.3">
      <c r="A6" t="s">
        <v>67</v>
      </c>
    </row>
    <row r="7" spans="1:2" ht="18" customHeight="1" x14ac:dyDescent="0.3">
      <c r="A7" t="s">
        <v>100</v>
      </c>
    </row>
    <row r="8" spans="1:2" ht="18" customHeight="1" x14ac:dyDescent="0.3">
      <c r="A8" t="s">
        <v>65</v>
      </c>
    </row>
    <row r="9" spans="1:2" ht="18" customHeight="1" x14ac:dyDescent="0.3">
      <c r="A9" t="s">
        <v>66</v>
      </c>
    </row>
    <row r="10" spans="1:2" ht="18" customHeight="1" x14ac:dyDescent="0.3"/>
    <row r="11" spans="1:2" ht="18" customHeight="1" x14ac:dyDescent="0.3">
      <c r="A11" s="42" t="s">
        <v>33</v>
      </c>
      <c r="B11" s="43" t="s">
        <v>34</v>
      </c>
    </row>
    <row r="12" spans="1:2" ht="18" customHeight="1" x14ac:dyDescent="0.3">
      <c r="A12" s="42" t="s">
        <v>35</v>
      </c>
      <c r="B12" s="43" t="s">
        <v>36</v>
      </c>
    </row>
    <row r="13" spans="1:2" ht="18" customHeight="1" x14ac:dyDescent="0.3">
      <c r="A13" s="44" t="s">
        <v>37</v>
      </c>
      <c r="B13" s="43" t="s">
        <v>38</v>
      </c>
    </row>
    <row r="14" spans="1:2" ht="18" customHeight="1" x14ac:dyDescent="0.3">
      <c r="A14" s="44" t="s">
        <v>39</v>
      </c>
      <c r="B14" s="43" t="s">
        <v>40</v>
      </c>
    </row>
    <row r="15" spans="1:2" ht="18" customHeight="1" x14ac:dyDescent="0.3">
      <c r="A15" s="44" t="s">
        <v>41</v>
      </c>
      <c r="B15" s="43" t="s">
        <v>42</v>
      </c>
    </row>
    <row r="16" spans="1:2" ht="18" customHeight="1" x14ac:dyDescent="0.3">
      <c r="A16" s="44" t="s">
        <v>43</v>
      </c>
      <c r="B16" s="45" t="s">
        <v>44</v>
      </c>
    </row>
    <row r="17" spans="1:2" ht="15.6" x14ac:dyDescent="0.3">
      <c r="A17" s="44" t="s">
        <v>45</v>
      </c>
      <c r="B17" s="43" t="s">
        <v>46</v>
      </c>
    </row>
    <row r="18" spans="1:2" ht="15.6" x14ac:dyDescent="0.3">
      <c r="A18" s="44" t="s">
        <v>47</v>
      </c>
      <c r="B18" s="43" t="s">
        <v>48</v>
      </c>
    </row>
    <row r="19" spans="1:2" ht="15.6" x14ac:dyDescent="0.3">
      <c r="A19" s="44" t="s">
        <v>49</v>
      </c>
      <c r="B19" s="43" t="s">
        <v>30</v>
      </c>
    </row>
    <row r="20" spans="1:2" ht="15.6" x14ac:dyDescent="0.3">
      <c r="A20" s="44" t="s">
        <v>50</v>
      </c>
      <c r="B20" s="43" t="s">
        <v>51</v>
      </c>
    </row>
    <row r="22" spans="1:2" x14ac:dyDescent="0.3">
      <c r="B22" s="79" t="s">
        <v>117</v>
      </c>
    </row>
  </sheetData>
  <hyperlinks>
    <hyperlink ref="B11" location="'A- 1stclass'!A1" display="1stClass@Number" xr:uid="{32C99FCA-C83C-4541-B4C2-40C1B8A8E0F3}"/>
    <hyperlink ref="B12" location="'B - Affordable '!A1" display="Affordable Maths Tuition" xr:uid="{AB1FCB25-61B2-49C9-AB3C-C652DFAD360B}"/>
    <hyperlink ref="B13" location="'C1-Ark Mastery'!A1" display="Ark Mathematics Mastery primary" xr:uid="{C70B4248-3B08-4D5E-A5FD-26569A36A883}"/>
    <hyperlink ref="B14" location="'C2-Ark Mastery'!A1" display="Ark Mathematics Mastery secondary" xr:uid="{F061F4F6-71F8-42E7-8065-CE56B22C83B8}"/>
    <hyperlink ref="B15" location="'D-Catch up'!A1" display="Catch up numeracy" xr:uid="{6CC375EA-DE07-4647-9B13-6B7213D0B367}"/>
    <hyperlink ref="B17" location="'G-Mathematical R'!A1" display="Mathematical Reasoning" xr:uid="{E4D4857E-641A-41AC-AE95-2AC69F7A87CD}"/>
    <hyperlink ref="B18" location="'H-Maths Champion'!A1" display="Maths Champions" xr:uid="{EA518F1D-B61A-4753-9BA6-771AA2CF91EA}"/>
    <hyperlink ref="B19" location="'I-Shared Math'!A1" display="Shared Maths" xr:uid="{7BD8FC3F-F6F5-48F1-A19A-C073EDE4C26A}"/>
    <hyperlink ref="B20" location="'J-Tutor Trust'!A1" display="Tutor Trust Affordable Tutoring" xr:uid="{B24A93E8-C756-4140-B895-18DA62CA63BE}"/>
    <hyperlink ref="B16" location="'F-ICCAMS'!A1" display=" ICCAMS" xr:uid="{DB1D85ED-B96E-469A-957B-185C2D2AEE8E}"/>
    <hyperlink ref="B22" location="'Coefficients ICC'!A1" display="Recacluls des coefficients de corrélation intra classe (ICC)" xr:uid="{DAD1EC28-9608-449A-BCEA-2366267BD7A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AA50-CA66-4DA0-B697-090D9180F824}">
  <dimension ref="A1:F17"/>
  <sheetViews>
    <sheetView workbookViewId="0">
      <selection activeCell="B23" sqref="B23"/>
    </sheetView>
  </sheetViews>
  <sheetFormatPr baseColWidth="10" defaultRowHeight="14.4" x14ac:dyDescent="0.3"/>
  <cols>
    <col min="1" max="1" width="18.77734375" style="10" customWidth="1"/>
    <col min="2" max="2" width="15" style="10" customWidth="1"/>
    <col min="3" max="3" width="9.77734375" style="10" customWidth="1"/>
    <col min="4" max="4" width="9.44140625" style="10" customWidth="1"/>
    <col min="5" max="5" width="11.88671875" style="10" customWidth="1"/>
    <col min="6" max="6" width="15.6640625" style="10" customWidth="1"/>
    <col min="7" max="7" width="11.5546875" style="10" customWidth="1"/>
    <col min="8" max="16384" width="11.5546875" style="10"/>
  </cols>
  <sheetData>
    <row r="1" spans="1:6" ht="15.6" x14ac:dyDescent="0.3">
      <c r="A1" s="16" t="s">
        <v>56</v>
      </c>
    </row>
    <row r="2" spans="1:6" ht="15.6" x14ac:dyDescent="0.3">
      <c r="A2" s="16"/>
    </row>
    <row r="3" spans="1:6" x14ac:dyDescent="0.3">
      <c r="A3" s="4" t="s">
        <v>2</v>
      </c>
      <c r="B3" s="4" t="s">
        <v>14</v>
      </c>
      <c r="C3" s="4" t="s">
        <v>0</v>
      </c>
      <c r="D3" s="14"/>
      <c r="E3" s="14"/>
    </row>
    <row r="4" spans="1:6" x14ac:dyDescent="0.3">
      <c r="A4" s="34">
        <v>0.68</v>
      </c>
      <c r="B4" s="15">
        <v>-0.28999999999999998</v>
      </c>
      <c r="C4" s="15">
        <v>1.65</v>
      </c>
      <c r="D4" s="14"/>
      <c r="E4" s="14"/>
    </row>
    <row r="5" spans="1:6" x14ac:dyDescent="0.3">
      <c r="A5" s="14"/>
      <c r="B5" s="14"/>
      <c r="C5" s="14"/>
      <c r="D5" s="14"/>
      <c r="E5" s="14"/>
    </row>
    <row r="6" spans="1:6" x14ac:dyDescent="0.3">
      <c r="A6" s="13" t="s">
        <v>61</v>
      </c>
      <c r="B6" s="13" t="s">
        <v>62</v>
      </c>
    </row>
    <row r="7" spans="1:6" x14ac:dyDescent="0.3">
      <c r="A7" s="13">
        <v>3.9209999999999998</v>
      </c>
      <c r="B7" s="13">
        <v>14.695</v>
      </c>
    </row>
    <row r="9" spans="1:6" x14ac:dyDescent="0.3">
      <c r="B9" s="11" t="s">
        <v>1</v>
      </c>
      <c r="C9" s="12" t="s">
        <v>14</v>
      </c>
      <c r="D9" s="12" t="s">
        <v>0</v>
      </c>
    </row>
    <row r="10" spans="1:6" x14ac:dyDescent="0.3">
      <c r="A10" s="37" t="s">
        <v>9</v>
      </c>
      <c r="B10" s="11">
        <f>$A$4/(A7+B7)^0.5</f>
        <v>0.15760345269864953</v>
      </c>
      <c r="C10" s="11">
        <f>B4/(A7+B7)^0.5</f>
        <v>-6.7213237180306404E-2</v>
      </c>
      <c r="D10" s="11">
        <f>C4/(A7+B7)^0.5</f>
        <v>0.38242014257760543</v>
      </c>
    </row>
    <row r="11" spans="1:6" x14ac:dyDescent="0.3">
      <c r="A11" s="37" t="s">
        <v>8</v>
      </c>
      <c r="B11" s="35">
        <f>$A$4/(B7)^0.5</f>
        <v>0.17738795111012276</v>
      </c>
      <c r="C11" s="35">
        <f>B4/(B7)^0.5</f>
        <v>-7.5650743855787628E-2</v>
      </c>
      <c r="D11" s="35">
        <f>C4/(B7)^0.5</f>
        <v>0.43042664607603309</v>
      </c>
    </row>
    <row r="15" spans="1:6" x14ac:dyDescent="0.3">
      <c r="A15" s="10" t="s">
        <v>7</v>
      </c>
    </row>
    <row r="16" spans="1:6" x14ac:dyDescent="0.3">
      <c r="A16" s="57" t="s">
        <v>53</v>
      </c>
      <c r="B16" s="57"/>
      <c r="C16" s="57"/>
      <c r="D16" s="57"/>
      <c r="E16" s="57"/>
      <c r="F16" s="57"/>
    </row>
    <row r="17" spans="1:6" x14ac:dyDescent="0.3">
      <c r="A17" s="57"/>
      <c r="B17" s="57"/>
      <c r="C17" s="57"/>
      <c r="D17" s="57"/>
      <c r="E17" s="57"/>
      <c r="F17" s="57"/>
    </row>
  </sheetData>
  <mergeCells count="1">
    <mergeCell ref="A16:F17"/>
  </mergeCells>
  <pageMargins left="0.70000000000000007" right="0.70000000000000007" top="0.75" bottom="0.75" header="0.30000000000000004" footer="0.30000000000000004"/>
  <pageSetup paperSize="9" fitToWidth="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6155-7618-4DFE-9D80-263CEDC06E4C}">
  <dimension ref="A1:C11"/>
  <sheetViews>
    <sheetView workbookViewId="0">
      <selection activeCell="D23" sqref="D23"/>
    </sheetView>
  </sheetViews>
  <sheetFormatPr baseColWidth="10" defaultRowHeight="14.4" x14ac:dyDescent="0.3"/>
  <cols>
    <col min="2" max="2" width="14.5546875" customWidth="1"/>
    <col min="3" max="3" width="13.88671875" customWidth="1"/>
  </cols>
  <sheetData>
    <row r="1" spans="1:3" ht="15.6" x14ac:dyDescent="0.3">
      <c r="A1" s="5" t="s">
        <v>57</v>
      </c>
    </row>
    <row r="2" spans="1:3" ht="15.6" x14ac:dyDescent="0.3">
      <c r="A2" s="5"/>
    </row>
    <row r="3" spans="1:3" x14ac:dyDescent="0.3">
      <c r="A3" t="s">
        <v>54</v>
      </c>
    </row>
    <row r="4" spans="1:3" x14ac:dyDescent="0.3">
      <c r="A4" s="4" t="s">
        <v>2</v>
      </c>
      <c r="B4" s="4" t="s">
        <v>14</v>
      </c>
      <c r="C4" s="4" t="s">
        <v>0</v>
      </c>
    </row>
    <row r="5" spans="1:3" x14ac:dyDescent="0.3">
      <c r="A5" s="4">
        <v>5.0000000000000001E-3</v>
      </c>
      <c r="B5" s="4">
        <v>-0.97</v>
      </c>
      <c r="C5" s="4">
        <v>0.98</v>
      </c>
    </row>
    <row r="7" spans="1:3" ht="28.8" customHeight="1" x14ac:dyDescent="0.3">
      <c r="A7" s="40" t="s">
        <v>63</v>
      </c>
      <c r="B7" s="40" t="s">
        <v>64</v>
      </c>
    </row>
    <row r="8" spans="1:3" x14ac:dyDescent="0.3">
      <c r="A8" s="36">
        <v>2.5529999999999999</v>
      </c>
      <c r="B8" s="36">
        <v>1.778</v>
      </c>
    </row>
    <row r="10" spans="1:3" x14ac:dyDescent="0.3">
      <c r="A10" s="6" t="s">
        <v>1</v>
      </c>
      <c r="B10" s="2" t="s">
        <v>14</v>
      </c>
      <c r="C10" s="2" t="s">
        <v>0</v>
      </c>
    </row>
    <row r="11" spans="1:3" x14ac:dyDescent="0.3">
      <c r="A11" s="1">
        <f>A5/(A8^2+B8^2)^0.5</f>
        <v>1.6071361610977884E-3</v>
      </c>
      <c r="B11" s="1">
        <f>B5/(A8^2+B8^2)^0.5</f>
        <v>-0.31178441525297096</v>
      </c>
      <c r="C11" s="1">
        <f>C5/(A8^2+B8^2)^0.5</f>
        <v>0.31499868757516652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CFDE-AABD-4E93-A9D3-4AC4C1369A8E}">
  <dimension ref="A1:D7"/>
  <sheetViews>
    <sheetView workbookViewId="0">
      <selection activeCell="D19" sqref="D19"/>
    </sheetView>
  </sheetViews>
  <sheetFormatPr baseColWidth="10" defaultRowHeight="14.4" x14ac:dyDescent="0.3"/>
  <cols>
    <col min="1" max="1" width="14.21875" customWidth="1"/>
    <col min="2" max="2" width="14.6640625" customWidth="1"/>
  </cols>
  <sheetData>
    <row r="1" spans="1:4" ht="15.6" x14ac:dyDescent="0.3">
      <c r="A1" s="9" t="s">
        <v>58</v>
      </c>
    </row>
    <row r="3" spans="1:4" x14ac:dyDescent="0.3">
      <c r="A3" t="s">
        <v>118</v>
      </c>
    </row>
    <row r="6" spans="1:4" x14ac:dyDescent="0.3">
      <c r="A6" s="8" t="s">
        <v>2</v>
      </c>
      <c r="B6" s="36" t="s">
        <v>119</v>
      </c>
      <c r="C6" s="7" t="s">
        <v>4</v>
      </c>
      <c r="D6" s="7" t="s">
        <v>3</v>
      </c>
    </row>
    <row r="7" spans="1:4" x14ac:dyDescent="0.3">
      <c r="A7" s="4">
        <v>9.9000000000000005E-2</v>
      </c>
      <c r="B7" s="4">
        <v>5.3999999999999999E-2</v>
      </c>
      <c r="C7" s="2">
        <f>A7-1.96*B7</f>
        <v>-6.8399999999999989E-3</v>
      </c>
      <c r="D7" s="2">
        <f>A7+1.96*B7</f>
        <v>0.20484000000000002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6A3D-D389-42A1-A8F8-7349DED70A5F}">
  <dimension ref="A1:D7"/>
  <sheetViews>
    <sheetView workbookViewId="0">
      <selection activeCell="D18" sqref="D18"/>
    </sheetView>
  </sheetViews>
  <sheetFormatPr baseColWidth="10" defaultRowHeight="14.4" x14ac:dyDescent="0.3"/>
  <cols>
    <col min="1" max="1" width="20.109375" customWidth="1"/>
    <col min="2" max="2" width="14.6640625" customWidth="1"/>
  </cols>
  <sheetData>
    <row r="1" spans="1:4" ht="15.6" x14ac:dyDescent="0.3">
      <c r="A1" s="9" t="s">
        <v>59</v>
      </c>
    </row>
    <row r="3" spans="1:4" x14ac:dyDescent="0.3">
      <c r="A3" t="s">
        <v>6</v>
      </c>
    </row>
    <row r="6" spans="1:4" x14ac:dyDescent="0.3">
      <c r="A6" s="8" t="s">
        <v>5</v>
      </c>
      <c r="B6" s="36" t="s">
        <v>119</v>
      </c>
      <c r="C6" s="7" t="s">
        <v>4</v>
      </c>
      <c r="D6" s="7" t="s">
        <v>3</v>
      </c>
    </row>
    <row r="7" spans="1:4" x14ac:dyDescent="0.3">
      <c r="A7" s="36">
        <v>5.5E-2</v>
      </c>
      <c r="B7" s="36">
        <v>4.5999999999999999E-2</v>
      </c>
      <c r="C7" s="2">
        <f>A7-1.96*B7</f>
        <v>-3.515999999999999E-2</v>
      </c>
      <c r="D7" s="2">
        <f>A7+1.96*B7</f>
        <v>0.14515999999999998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3978-3DA6-40E3-8607-B15875907263}">
  <dimension ref="A1:G21"/>
  <sheetViews>
    <sheetView workbookViewId="0">
      <selection activeCell="J31" sqref="J31"/>
    </sheetView>
  </sheetViews>
  <sheetFormatPr baseColWidth="10" defaultRowHeight="14.4" x14ac:dyDescent="0.3"/>
  <cols>
    <col min="1" max="1" width="17.88671875" customWidth="1"/>
    <col min="2" max="2" width="21" customWidth="1"/>
    <col min="3" max="3" width="14.77734375" customWidth="1"/>
    <col min="4" max="4" width="17" customWidth="1"/>
    <col min="5" max="5" width="14.44140625" customWidth="1"/>
    <col min="8" max="8" width="12.6640625" customWidth="1"/>
  </cols>
  <sheetData>
    <row r="1" spans="1:7" ht="15.6" x14ac:dyDescent="0.3">
      <c r="A1" s="9" t="s">
        <v>60</v>
      </c>
    </row>
    <row r="2" spans="1:7" x14ac:dyDescent="0.3">
      <c r="A2" t="s">
        <v>68</v>
      </c>
    </row>
    <row r="3" spans="1:7" ht="15.6" x14ac:dyDescent="0.3">
      <c r="A3" s="9"/>
    </row>
    <row r="4" spans="1:7" x14ac:dyDescent="0.3">
      <c r="A4" t="s">
        <v>11</v>
      </c>
    </row>
    <row r="5" spans="1:7" x14ac:dyDescent="0.3">
      <c r="A5" s="8" t="s">
        <v>2</v>
      </c>
      <c r="B5" s="19" t="s">
        <v>4</v>
      </c>
      <c r="C5" s="18" t="s">
        <v>3</v>
      </c>
      <c r="D5" s="17"/>
      <c r="E5" s="17"/>
    </row>
    <row r="6" spans="1:7" x14ac:dyDescent="0.3">
      <c r="A6" s="38">
        <v>-0.31</v>
      </c>
      <c r="B6" s="39">
        <v>-1.65</v>
      </c>
      <c r="C6" s="39">
        <v>0.98</v>
      </c>
      <c r="D6" s="17"/>
      <c r="E6" s="17"/>
    </row>
    <row r="7" spans="1:7" x14ac:dyDescent="0.3">
      <c r="A7" s="17"/>
      <c r="B7" s="17"/>
      <c r="C7" s="17"/>
      <c r="D7" s="17"/>
      <c r="E7" s="17"/>
    </row>
    <row r="8" spans="1:7" x14ac:dyDescent="0.3">
      <c r="A8" s="3" t="s">
        <v>69</v>
      </c>
      <c r="B8" s="8" t="s">
        <v>61</v>
      </c>
      <c r="C8" s="54" t="s">
        <v>10</v>
      </c>
      <c r="D8" s="8" t="s">
        <v>62</v>
      </c>
      <c r="E8" s="6" t="s">
        <v>1</v>
      </c>
      <c r="F8" s="2" t="s">
        <v>14</v>
      </c>
      <c r="G8" s="2" t="s">
        <v>0</v>
      </c>
    </row>
    <row r="9" spans="1:7" s="17" customFormat="1" x14ac:dyDescent="0.3">
      <c r="A9" s="36">
        <v>0</v>
      </c>
      <c r="B9" s="36">
        <v>6.6</v>
      </c>
      <c r="C9" s="36">
        <v>10.3</v>
      </c>
      <c r="D9" s="36">
        <v>38.299999999999997</v>
      </c>
      <c r="E9" s="6">
        <f>A6/(A9+B9+C9+D9)^0.5</f>
        <v>-4.1724597409507826E-2</v>
      </c>
      <c r="F9" s="6">
        <f>B6/(A9+B9+C9+D9)^0.5</f>
        <v>-0.22208253459899327</v>
      </c>
      <c r="G9" s="6">
        <f>C6/(B9+C9+D9+E9)^0.5</f>
        <v>0.13195344594279815</v>
      </c>
    </row>
    <row r="11" spans="1:7" x14ac:dyDescent="0.3">
      <c r="A11" t="s">
        <v>70</v>
      </c>
    </row>
    <row r="13" spans="1:7" ht="15.6" x14ac:dyDescent="0.3">
      <c r="A13" s="55" t="s">
        <v>102</v>
      </c>
      <c r="B13" t="s">
        <v>60</v>
      </c>
    </row>
    <row r="15" spans="1:7" x14ac:dyDescent="0.3">
      <c r="A15" t="s">
        <v>103</v>
      </c>
      <c r="E15" s="17"/>
    </row>
    <row r="16" spans="1:7" x14ac:dyDescent="0.3">
      <c r="A16" s="4" t="s">
        <v>104</v>
      </c>
      <c r="B16" s="30" t="s">
        <v>61</v>
      </c>
      <c r="C16" s="4" t="s">
        <v>10</v>
      </c>
      <c r="D16" s="30" t="s">
        <v>62</v>
      </c>
      <c r="E16" s="2" t="s">
        <v>105</v>
      </c>
    </row>
    <row r="17" spans="1:5" x14ac:dyDescent="0.3">
      <c r="A17" s="4">
        <v>6</v>
      </c>
      <c r="B17" s="4">
        <v>6.6</v>
      </c>
      <c r="C17" s="4">
        <v>10.7</v>
      </c>
      <c r="D17" s="4">
        <v>38.4</v>
      </c>
      <c r="E17" s="2">
        <f>SUM(A17:D17)</f>
        <v>61.699999999999996</v>
      </c>
    </row>
    <row r="18" spans="1:5" x14ac:dyDescent="0.3">
      <c r="A18" s="53"/>
      <c r="B18" s="53"/>
      <c r="C18" s="53"/>
      <c r="D18" s="53"/>
      <c r="E18" s="33"/>
    </row>
    <row r="19" spans="1:5" x14ac:dyDescent="0.3">
      <c r="A19" t="s">
        <v>11</v>
      </c>
      <c r="B19" s="53"/>
      <c r="C19" s="53"/>
      <c r="D19" s="53"/>
      <c r="E19" s="33"/>
    </row>
    <row r="20" spans="1:5" x14ac:dyDescent="0.3">
      <c r="A20" s="4" t="s">
        <v>104</v>
      </c>
      <c r="B20" s="30" t="s">
        <v>61</v>
      </c>
      <c r="C20" s="4" t="s">
        <v>10</v>
      </c>
      <c r="D20" s="30" t="s">
        <v>62</v>
      </c>
      <c r="E20" s="2" t="s">
        <v>105</v>
      </c>
    </row>
    <row r="21" spans="1:5" x14ac:dyDescent="0.3">
      <c r="A21" s="4">
        <v>0</v>
      </c>
      <c r="B21" s="4">
        <v>6.6</v>
      </c>
      <c r="C21" s="4">
        <v>10.3</v>
      </c>
      <c r="D21" s="4">
        <v>38.299999999999997</v>
      </c>
      <c r="E21" s="2">
        <f>SUM(A21:D21)</f>
        <v>55.199999999999996</v>
      </c>
    </row>
  </sheetData>
  <pageMargins left="0.25" right="0.25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CCCE-4657-4586-8D0C-DEC53E5FD39C}">
  <dimension ref="A1:F16"/>
  <sheetViews>
    <sheetView workbookViewId="0">
      <selection activeCell="C21" sqref="C21"/>
    </sheetView>
  </sheetViews>
  <sheetFormatPr baseColWidth="10" defaultRowHeight="14.4" x14ac:dyDescent="0.3"/>
  <cols>
    <col min="1" max="1" width="22" style="10" customWidth="1"/>
    <col min="2" max="2" width="14.5546875" style="10" customWidth="1"/>
    <col min="3" max="3" width="12.33203125" style="10" customWidth="1"/>
    <col min="4" max="4" width="11.21875" style="10" customWidth="1"/>
    <col min="5" max="5" width="12.109375" style="10" customWidth="1"/>
    <col min="6" max="6" width="11.21875" style="10" customWidth="1"/>
    <col min="7" max="8" width="9.6640625" style="10" customWidth="1"/>
    <col min="9" max="9" width="11.5546875" style="10" customWidth="1"/>
    <col min="10" max="16384" width="11.5546875" style="10"/>
  </cols>
  <sheetData>
    <row r="1" spans="1:6" ht="15.6" x14ac:dyDescent="0.3">
      <c r="A1" s="16" t="s">
        <v>72</v>
      </c>
    </row>
    <row r="3" spans="1:6" x14ac:dyDescent="0.3">
      <c r="A3" s="13" t="s">
        <v>2</v>
      </c>
      <c r="B3" s="21" t="s">
        <v>14</v>
      </c>
      <c r="C3" s="21" t="s">
        <v>0</v>
      </c>
    </row>
    <row r="4" spans="1:6" x14ac:dyDescent="0.3">
      <c r="A4" s="13">
        <v>0.23200000000000001</v>
      </c>
      <c r="B4" s="21">
        <v>-0.45400000000000001</v>
      </c>
      <c r="C4" s="21">
        <v>0.91800000000000004</v>
      </c>
    </row>
    <row r="6" spans="1:6" x14ac:dyDescent="0.3">
      <c r="A6" s="58" t="s">
        <v>16</v>
      </c>
      <c r="B6" s="59"/>
      <c r="C6" s="59"/>
      <c r="D6" s="59"/>
      <c r="E6" s="59"/>
      <c r="F6" s="59"/>
    </row>
    <row r="7" spans="1:6" x14ac:dyDescent="0.3">
      <c r="A7" s="20" t="s">
        <v>61</v>
      </c>
      <c r="B7" s="20" t="s">
        <v>62</v>
      </c>
      <c r="C7" s="12" t="s">
        <v>15</v>
      </c>
      <c r="D7" s="11" t="s">
        <v>71</v>
      </c>
      <c r="E7" s="12" t="s">
        <v>14</v>
      </c>
      <c r="F7" s="12" t="s">
        <v>13</v>
      </c>
    </row>
    <row r="8" spans="1:6" x14ac:dyDescent="0.3">
      <c r="A8" s="13">
        <v>2.8839999999999999</v>
      </c>
      <c r="B8" s="13">
        <v>36.317999999999998</v>
      </c>
      <c r="C8" s="12">
        <f>(A8+B8)^0.5</f>
        <v>6.2611500541034788</v>
      </c>
      <c r="D8" s="11">
        <f>$A$4/(A8+B8)^0.5</f>
        <v>3.7053895529616021E-2</v>
      </c>
      <c r="E8" s="11">
        <f>B4/C8</f>
        <v>-7.2510640389852041E-2</v>
      </c>
      <c r="F8" s="11">
        <f>C4/C8</f>
        <v>0.1466184314490841</v>
      </c>
    </row>
    <row r="10" spans="1:6" x14ac:dyDescent="0.3">
      <c r="A10" s="60" t="s">
        <v>106</v>
      </c>
      <c r="B10" s="61"/>
      <c r="C10" s="61"/>
      <c r="D10" s="61"/>
      <c r="E10" s="61"/>
      <c r="F10" s="61"/>
    </row>
    <row r="11" spans="1:6" x14ac:dyDescent="0.3">
      <c r="A11" s="20" t="s">
        <v>61</v>
      </c>
      <c r="B11" s="20" t="s">
        <v>62</v>
      </c>
      <c r="C11" s="6" t="s">
        <v>15</v>
      </c>
      <c r="D11" s="56" t="s">
        <v>107</v>
      </c>
      <c r="E11" s="2" t="s">
        <v>14</v>
      </c>
      <c r="F11" s="2" t="s">
        <v>13</v>
      </c>
    </row>
    <row r="12" spans="1:6" x14ac:dyDescent="0.3">
      <c r="A12" s="6">
        <v>8.5229999999999997</v>
      </c>
      <c r="B12" s="6">
        <v>103.83199999999999</v>
      </c>
      <c r="C12" s="6">
        <f>(A12+B12)^0.5</f>
        <v>10.599764148319528</v>
      </c>
      <c r="D12" s="6">
        <f>$A$4/(A12+B12)^0.5</f>
        <v>2.1887279448267818E-2</v>
      </c>
      <c r="E12" s="6">
        <f>B4/C12</f>
        <v>-4.2831141678937881E-2</v>
      </c>
      <c r="F12" s="6">
        <f>C4/B12</f>
        <v>8.8412050234995005E-3</v>
      </c>
    </row>
    <row r="16" spans="1:6" x14ac:dyDescent="0.3">
      <c r="A16" s="10" t="s">
        <v>12</v>
      </c>
    </row>
  </sheetData>
  <mergeCells count="2">
    <mergeCell ref="A6:F6"/>
    <mergeCell ref="A10:F10"/>
  </mergeCells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CB40-F0F6-4AC0-B0B1-A3DC2517B6F4}">
  <dimension ref="A1:N28"/>
  <sheetViews>
    <sheetView zoomScale="110" zoomScaleNormal="110" workbookViewId="0">
      <selection activeCell="K15" sqref="K15"/>
    </sheetView>
  </sheetViews>
  <sheetFormatPr baseColWidth="10" defaultRowHeight="14.4" x14ac:dyDescent="0.3"/>
  <cols>
    <col min="1" max="1" width="8" style="17" customWidth="1"/>
    <col min="2" max="2" width="8.33203125" style="17" customWidth="1"/>
    <col min="3" max="3" width="8.88671875" style="17" customWidth="1"/>
    <col min="4" max="4" width="11.33203125" style="17" customWidth="1"/>
    <col min="5" max="5" width="8.109375" style="17" customWidth="1"/>
    <col min="6" max="6" width="18" style="17" customWidth="1"/>
    <col min="7" max="7" width="11" style="17" customWidth="1"/>
    <col min="8" max="8" width="15" style="17" customWidth="1"/>
    <col min="9" max="9" width="9.109375" style="17" customWidth="1"/>
    <col min="10" max="10" width="11.33203125" style="17" customWidth="1"/>
    <col min="11" max="11" width="6.109375" style="17" customWidth="1"/>
    <col min="12" max="12" width="9" style="17" customWidth="1"/>
    <col min="13" max="13" width="8.88671875" style="17" customWidth="1"/>
    <col min="14" max="14" width="9.21875" customWidth="1"/>
    <col min="15" max="17" width="6.6640625" customWidth="1"/>
  </cols>
  <sheetData>
    <row r="1" spans="1:14" ht="15.6" x14ac:dyDescent="0.3">
      <c r="A1" s="28" t="s">
        <v>73</v>
      </c>
      <c r="B1" s="22"/>
      <c r="E1" s="22"/>
    </row>
    <row r="2" spans="1:14" x14ac:dyDescent="0.3">
      <c r="A2" s="27"/>
      <c r="B2" s="22"/>
      <c r="C2" s="22"/>
    </row>
    <row r="3" spans="1:14" x14ac:dyDescent="0.3">
      <c r="A3" s="26" t="s">
        <v>74</v>
      </c>
      <c r="B3" s="26" t="s">
        <v>75</v>
      </c>
      <c r="C3" s="26" t="s">
        <v>76</v>
      </c>
      <c r="D3" s="26" t="s">
        <v>77</v>
      </c>
      <c r="E3" s="26" t="s">
        <v>78</v>
      </c>
      <c r="F3" s="26" t="s">
        <v>79</v>
      </c>
      <c r="G3" s="26" t="s">
        <v>80</v>
      </c>
      <c r="H3" s="41" t="s">
        <v>81</v>
      </c>
      <c r="I3" s="36" t="s">
        <v>84</v>
      </c>
      <c r="M3"/>
    </row>
    <row r="4" spans="1:14" x14ac:dyDescent="0.3">
      <c r="A4" s="26">
        <v>3238</v>
      </c>
      <c r="B4" s="26">
        <v>3115</v>
      </c>
      <c r="C4" s="26">
        <v>1.181</v>
      </c>
      <c r="D4" s="26">
        <v>80</v>
      </c>
      <c r="E4" s="26">
        <v>80</v>
      </c>
      <c r="F4" s="26">
        <v>238.97</v>
      </c>
      <c r="G4" s="26">
        <v>246.77</v>
      </c>
      <c r="H4" s="26">
        <v>0.11</v>
      </c>
      <c r="I4" s="36">
        <v>0.57999999999999996</v>
      </c>
      <c r="M4"/>
    </row>
    <row r="6" spans="1:14" x14ac:dyDescent="0.3">
      <c r="A6" s="25" t="s">
        <v>91</v>
      </c>
      <c r="B6" s="25" t="s">
        <v>92</v>
      </c>
      <c r="C6" s="24" t="s">
        <v>82</v>
      </c>
      <c r="D6" s="6" t="s">
        <v>83</v>
      </c>
      <c r="E6" s="6" t="s">
        <v>26</v>
      </c>
    </row>
    <row r="7" spans="1:14" x14ac:dyDescent="0.3">
      <c r="A7" s="25">
        <f>((A4-1)*F4+(B4-1)*G4)/(A4+B4-2)</f>
        <v>242.79446858762398</v>
      </c>
      <c r="B7" s="25">
        <f>A7^0.5</f>
        <v>15.581863450422865</v>
      </c>
      <c r="C7" s="24">
        <f>A4+B4</f>
        <v>6353</v>
      </c>
      <c r="D7" s="6">
        <f>D4+E4</f>
        <v>160</v>
      </c>
      <c r="E7" s="6">
        <f>C7/D7</f>
        <v>39.706249999999997</v>
      </c>
    </row>
    <row r="8" spans="1:14" ht="15" thickBot="1" x14ac:dyDescent="0.35"/>
    <row r="9" spans="1:14" ht="15" thickBot="1" x14ac:dyDescent="0.35">
      <c r="A9" s="22" t="s">
        <v>120</v>
      </c>
      <c r="K9" s="64" t="s">
        <v>134</v>
      </c>
      <c r="L9" s="65"/>
      <c r="M9" s="65"/>
      <c r="N9" s="66"/>
    </row>
    <row r="10" spans="1:14" x14ac:dyDescent="0.3">
      <c r="A10" s="62" t="s">
        <v>121</v>
      </c>
      <c r="B10" s="63"/>
      <c r="C10" s="67" t="s">
        <v>31</v>
      </c>
      <c r="D10" s="68"/>
      <c r="E10" s="69" t="s">
        <v>25</v>
      </c>
      <c r="F10" s="70"/>
      <c r="G10" s="67" t="s">
        <v>24</v>
      </c>
      <c r="H10" s="68"/>
      <c r="I10" s="67" t="s">
        <v>23</v>
      </c>
      <c r="J10" s="71"/>
      <c r="K10" s="67" t="s">
        <v>22</v>
      </c>
      <c r="L10" s="68"/>
      <c r="M10" s="67" t="s">
        <v>21</v>
      </c>
      <c r="N10" s="68"/>
    </row>
    <row r="11" spans="1:14" s="33" customFormat="1" ht="15" customHeight="1" x14ac:dyDescent="0.3">
      <c r="A11" s="81" t="s">
        <v>20</v>
      </c>
      <c r="B11" s="46" t="s">
        <v>88</v>
      </c>
      <c r="C11" s="81" t="s">
        <v>20</v>
      </c>
      <c r="D11" s="46" t="s">
        <v>89</v>
      </c>
      <c r="E11" s="84" t="s">
        <v>20</v>
      </c>
      <c r="F11" s="46" t="s">
        <v>93</v>
      </c>
      <c r="G11" s="84" t="s">
        <v>20</v>
      </c>
      <c r="H11" s="46" t="s">
        <v>90</v>
      </c>
      <c r="I11" s="81" t="s">
        <v>20</v>
      </c>
      <c r="J11" s="50" t="s">
        <v>94</v>
      </c>
      <c r="K11" s="81" t="s">
        <v>20</v>
      </c>
      <c r="L11" s="52" t="s">
        <v>19</v>
      </c>
      <c r="M11" s="81" t="s">
        <v>20</v>
      </c>
      <c r="N11" s="52" t="s">
        <v>19</v>
      </c>
    </row>
    <row r="12" spans="1:14" s="23" customFormat="1" ht="15" thickBot="1" x14ac:dyDescent="0.35">
      <c r="A12" s="82">
        <f>C7-2</f>
        <v>6351</v>
      </c>
      <c r="B12" s="47">
        <f>((A12-2*(E7-1)*H4)^2)/(A12*(1-H4)^2+E7*(C7-2*E7)*H4^2+2*(C7-2*E7)*H4*(1-H4))</f>
        <v>4338.0373291104024</v>
      </c>
      <c r="C12" s="83">
        <f>1-3/(4*A12-1)</f>
        <v>0.99988190371216001</v>
      </c>
      <c r="D12" s="48">
        <f>1-3/(4*B12-1)</f>
        <v>0.99982710079054204</v>
      </c>
      <c r="E12" s="82">
        <f>C12*C4/B7</f>
        <v>7.5784294480645983E-2</v>
      </c>
      <c r="F12" s="47">
        <f>D12*C4/B7*(1-(2*(E7-1)*H4/A12))^0.5</f>
        <v>7.572932101580751E-2</v>
      </c>
      <c r="G12" s="82">
        <f>C12^2*(C7/(A4*B4)+F12^2/(2*C7))</f>
        <v>6.3016239005215049E-4</v>
      </c>
      <c r="H12" s="49">
        <f>D12^2*(C7/(A4*B4)*(1+(E7-1)*H4*(1-I4^2))+F12^2/(2*B12))</f>
        <v>2.4092946179388726E-3</v>
      </c>
      <c r="I12" s="82">
        <f>G12^0.5</f>
        <v>2.510303547486141E-2</v>
      </c>
      <c r="J12" s="51">
        <f>H12^0.5</f>
        <v>4.9084565985031102E-2</v>
      </c>
      <c r="K12" s="82">
        <f>E12-1.96*I12</f>
        <v>2.6582344949917618E-2</v>
      </c>
      <c r="L12" s="47">
        <f>F12-1.96*J12</f>
        <v>-2.0476428314853454E-2</v>
      </c>
      <c r="M12" s="82">
        <f>E12+1.96*I12</f>
        <v>0.12498624401137434</v>
      </c>
      <c r="N12" s="47">
        <f>F12+1.96*J12</f>
        <v>0.17193507034646849</v>
      </c>
    </row>
    <row r="14" spans="1:14" s="17" customFormat="1" x14ac:dyDescent="0.3">
      <c r="A14" s="17" t="s">
        <v>18</v>
      </c>
      <c r="B14" s="22" t="s">
        <v>85</v>
      </c>
      <c r="N14"/>
    </row>
    <row r="15" spans="1:14" s="17" customFormat="1" x14ac:dyDescent="0.3">
      <c r="A15" s="17" t="s">
        <v>17</v>
      </c>
      <c r="B15" s="22" t="s">
        <v>86</v>
      </c>
    </row>
    <row r="17" spans="1:14" x14ac:dyDescent="0.3">
      <c r="A17" s="80" t="s">
        <v>74</v>
      </c>
      <c r="B17" s="22" t="s">
        <v>122</v>
      </c>
    </row>
    <row r="18" spans="1:14" s="17" customFormat="1" x14ac:dyDescent="0.3">
      <c r="A18" s="80" t="s">
        <v>75</v>
      </c>
      <c r="B18" s="22" t="s">
        <v>124</v>
      </c>
      <c r="H18" s="23"/>
      <c r="J18" s="17" t="s">
        <v>87</v>
      </c>
      <c r="N18"/>
    </row>
    <row r="19" spans="1:14" x14ac:dyDescent="0.3">
      <c r="A19" s="80" t="s">
        <v>76</v>
      </c>
      <c r="B19" s="22" t="s">
        <v>123</v>
      </c>
    </row>
    <row r="20" spans="1:14" x14ac:dyDescent="0.3">
      <c r="A20" s="80" t="s">
        <v>77</v>
      </c>
      <c r="B20" s="22" t="s">
        <v>125</v>
      </c>
    </row>
    <row r="21" spans="1:14" s="17" customFormat="1" x14ac:dyDescent="0.3">
      <c r="A21" s="80" t="s">
        <v>78</v>
      </c>
      <c r="B21" s="22" t="s">
        <v>126</v>
      </c>
      <c r="N21"/>
    </row>
    <row r="22" spans="1:14" x14ac:dyDescent="0.3">
      <c r="A22" s="80" t="s">
        <v>79</v>
      </c>
      <c r="B22" s="22" t="s">
        <v>127</v>
      </c>
    </row>
    <row r="23" spans="1:14" x14ac:dyDescent="0.3">
      <c r="A23" s="80" t="s">
        <v>80</v>
      </c>
      <c r="B23" s="22" t="s">
        <v>128</v>
      </c>
    </row>
    <row r="24" spans="1:14" x14ac:dyDescent="0.3">
      <c r="A24" s="80" t="s">
        <v>81</v>
      </c>
      <c r="B24" s="22" t="s">
        <v>129</v>
      </c>
    </row>
    <row r="25" spans="1:14" x14ac:dyDescent="0.3">
      <c r="A25" s="80" t="s">
        <v>84</v>
      </c>
      <c r="B25" s="22" t="s">
        <v>130</v>
      </c>
    </row>
    <row r="26" spans="1:14" x14ac:dyDescent="0.3">
      <c r="A26" s="17" t="s">
        <v>121</v>
      </c>
      <c r="B26" s="22" t="s">
        <v>131</v>
      </c>
    </row>
    <row r="27" spans="1:14" x14ac:dyDescent="0.3">
      <c r="A27" s="17" t="s">
        <v>31</v>
      </c>
      <c r="B27" s="22" t="s">
        <v>132</v>
      </c>
    </row>
    <row r="28" spans="1:14" x14ac:dyDescent="0.3">
      <c r="A28" s="17" t="s">
        <v>25</v>
      </c>
      <c r="B28" s="22" t="s">
        <v>133</v>
      </c>
    </row>
  </sheetData>
  <mergeCells count="8">
    <mergeCell ref="A10:B10"/>
    <mergeCell ref="K9:N9"/>
    <mergeCell ref="C10:D10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1E60-7061-45B4-B751-F90281E3947F}">
  <dimension ref="A1:F9"/>
  <sheetViews>
    <sheetView workbookViewId="0">
      <selection activeCell="G16" sqref="G16"/>
    </sheetView>
  </sheetViews>
  <sheetFormatPr baseColWidth="10" defaultRowHeight="14.4" x14ac:dyDescent="0.3"/>
  <cols>
    <col min="1" max="1" width="23.109375" customWidth="1"/>
    <col min="2" max="2" width="15.6640625" customWidth="1"/>
    <col min="3" max="3" width="13.88671875" customWidth="1"/>
  </cols>
  <sheetData>
    <row r="1" spans="1:6" ht="15.6" x14ac:dyDescent="0.3">
      <c r="A1" s="5" t="s">
        <v>95</v>
      </c>
    </row>
    <row r="2" spans="1:6" ht="15.6" x14ac:dyDescent="0.3">
      <c r="A2" s="5"/>
    </row>
    <row r="3" spans="1:6" x14ac:dyDescent="0.3">
      <c r="A3" t="s">
        <v>96</v>
      </c>
    </row>
    <row r="5" spans="1:6" x14ac:dyDescent="0.3">
      <c r="A5" s="29" t="s">
        <v>55</v>
      </c>
      <c r="B5" s="30" t="s">
        <v>14</v>
      </c>
      <c r="C5" s="30" t="s">
        <v>0</v>
      </c>
    </row>
    <row r="6" spans="1:6" x14ac:dyDescent="0.3">
      <c r="A6" s="36">
        <v>0.48</v>
      </c>
      <c r="B6" s="4">
        <v>-0.65</v>
      </c>
      <c r="C6" s="4">
        <v>1.6</v>
      </c>
    </row>
    <row r="8" spans="1:6" x14ac:dyDescent="0.3">
      <c r="A8" s="8" t="s">
        <v>61</v>
      </c>
      <c r="B8" s="8" t="s">
        <v>62</v>
      </c>
      <c r="C8" s="2" t="s">
        <v>15</v>
      </c>
      <c r="D8" s="6" t="s">
        <v>1</v>
      </c>
      <c r="E8" s="2" t="s">
        <v>14</v>
      </c>
      <c r="F8" s="2" t="s">
        <v>13</v>
      </c>
    </row>
    <row r="9" spans="1:6" x14ac:dyDescent="0.3">
      <c r="A9" s="36">
        <v>4.2</v>
      </c>
      <c r="B9" s="36">
        <v>20.6</v>
      </c>
      <c r="C9" s="2">
        <f>(A9+B9)^0.5</f>
        <v>4.9799598391954927</v>
      </c>
      <c r="D9" s="6">
        <f>A6/(A9+B9)^0.5</f>
        <v>9.6386319468299869E-2</v>
      </c>
      <c r="E9" s="6">
        <f>B6/C9</f>
        <v>-0.13052314094665607</v>
      </c>
      <c r="F9" s="6">
        <f>C6/C9</f>
        <v>0.3212877315609996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3012-57F7-4C1C-94B8-BA7C4898499E}">
  <dimension ref="A1:M11"/>
  <sheetViews>
    <sheetView workbookViewId="0">
      <selection activeCell="J25" sqref="J24:J25"/>
    </sheetView>
  </sheetViews>
  <sheetFormatPr baseColWidth="10" defaultRowHeight="14.4" x14ac:dyDescent="0.3"/>
  <cols>
    <col min="1" max="1" width="20.33203125" style="10" customWidth="1"/>
    <col min="2" max="2" width="14.5546875" style="10" customWidth="1"/>
    <col min="3" max="3" width="12.33203125" style="10" customWidth="1"/>
    <col min="4" max="4" width="11.21875" style="10" customWidth="1"/>
    <col min="5" max="5" width="12.109375" style="10" customWidth="1"/>
    <col min="6" max="6" width="11.21875" style="10" customWidth="1"/>
    <col min="7" max="7" width="2.44140625" style="10" customWidth="1"/>
    <col min="8" max="8" width="9.6640625" style="10" customWidth="1"/>
    <col min="9" max="9" width="11.5546875" style="10" customWidth="1"/>
    <col min="10" max="16384" width="11.5546875" style="10"/>
  </cols>
  <sheetData>
    <row r="1" spans="1:13" ht="15.6" x14ac:dyDescent="0.3">
      <c r="A1" s="16" t="s">
        <v>98</v>
      </c>
    </row>
    <row r="2" spans="1:13" ht="15.6" x14ac:dyDescent="0.3">
      <c r="A2" s="16"/>
    </row>
    <row r="3" spans="1:13" x14ac:dyDescent="0.3">
      <c r="A3" s="10" t="s">
        <v>97</v>
      </c>
    </row>
    <row r="4" spans="1:13" x14ac:dyDescent="0.3">
      <c r="B4" s="86"/>
      <c r="C4" s="86"/>
      <c r="D4" s="86"/>
      <c r="E4" s="86"/>
      <c r="F4" s="86"/>
    </row>
    <row r="5" spans="1:13" ht="15.6" x14ac:dyDescent="0.3">
      <c r="A5" s="85" t="s">
        <v>29</v>
      </c>
      <c r="H5" s="85" t="s">
        <v>28</v>
      </c>
    </row>
    <row r="6" spans="1:13" x14ac:dyDescent="0.3">
      <c r="A6" s="13" t="s">
        <v>2</v>
      </c>
      <c r="B6" s="21" t="s">
        <v>14</v>
      </c>
      <c r="C6" s="21" t="s">
        <v>0</v>
      </c>
      <c r="D6" s="14"/>
      <c r="E6" s="14"/>
      <c r="F6" s="14"/>
      <c r="H6" s="13" t="s">
        <v>2</v>
      </c>
      <c r="I6" s="21" t="s">
        <v>14</v>
      </c>
      <c r="J6" s="21" t="s">
        <v>0</v>
      </c>
      <c r="K6" s="14"/>
      <c r="L6" s="14"/>
      <c r="M6" s="14"/>
    </row>
    <row r="7" spans="1:13" x14ac:dyDescent="0.3">
      <c r="A7" s="13">
        <v>0.09</v>
      </c>
      <c r="B7" s="21">
        <v>-1.23</v>
      </c>
      <c r="C7" s="21">
        <v>1.42</v>
      </c>
      <c r="D7" s="14"/>
      <c r="E7" s="14"/>
      <c r="F7" s="14"/>
      <c r="H7" s="13">
        <v>0.3</v>
      </c>
      <c r="I7" s="21">
        <v>-1.1200000000000001</v>
      </c>
      <c r="J7" s="21">
        <v>1.73</v>
      </c>
      <c r="K7" s="14"/>
      <c r="L7" s="14"/>
      <c r="M7" s="14"/>
    </row>
    <row r="8" spans="1:13" x14ac:dyDescent="0.3">
      <c r="A8" s="14"/>
      <c r="B8" s="14"/>
      <c r="C8" s="31"/>
      <c r="D8" s="14"/>
      <c r="E8" s="14"/>
      <c r="F8" s="14"/>
      <c r="H8" s="14"/>
      <c r="I8" s="14"/>
      <c r="J8" s="31"/>
      <c r="K8" s="14"/>
      <c r="L8" s="14"/>
      <c r="M8" s="14"/>
    </row>
    <row r="9" spans="1:13" x14ac:dyDescent="0.3">
      <c r="A9" s="20" t="s">
        <v>61</v>
      </c>
      <c r="B9" s="20" t="s">
        <v>62</v>
      </c>
      <c r="C9" s="12" t="s">
        <v>15</v>
      </c>
      <c r="D9" s="11" t="s">
        <v>1</v>
      </c>
      <c r="E9" s="12" t="s">
        <v>14</v>
      </c>
      <c r="F9" s="12" t="s">
        <v>13</v>
      </c>
      <c r="H9" s="20" t="s">
        <v>61</v>
      </c>
      <c r="I9" s="20" t="s">
        <v>62</v>
      </c>
      <c r="J9" s="12" t="s">
        <v>15</v>
      </c>
      <c r="K9" s="11" t="s">
        <v>1</v>
      </c>
      <c r="L9" s="12" t="s">
        <v>14</v>
      </c>
      <c r="M9" s="12" t="s">
        <v>13</v>
      </c>
    </row>
    <row r="10" spans="1:13" x14ac:dyDescent="0.3">
      <c r="A10" s="13">
        <v>21.51</v>
      </c>
      <c r="B10" s="13">
        <v>268.39999999999998</v>
      </c>
      <c r="C10" s="12">
        <f>(A10+B10)^0.5</f>
        <v>17.02674366988591</v>
      </c>
      <c r="D10" s="11">
        <f>A7/(A10+B10)^0.5</f>
        <v>5.2858022499732062E-3</v>
      </c>
      <c r="E10" s="11">
        <f>B7/C10</f>
        <v>-7.2239297416300488E-2</v>
      </c>
      <c r="F10" s="11">
        <f>C7/C10</f>
        <v>8.3398213277355041E-2</v>
      </c>
      <c r="H10" s="13">
        <v>36.4</v>
      </c>
      <c r="I10" s="13">
        <v>333.37</v>
      </c>
      <c r="J10" s="12">
        <f>(H10+I10)^0.5</f>
        <v>19.229404566964625</v>
      </c>
      <c r="K10" s="11">
        <f>H7/(H10+I10)^0.5</f>
        <v>1.5601107093840463E-2</v>
      </c>
      <c r="L10" s="11">
        <f>I7/J10</f>
        <v>-5.8244133150337732E-2</v>
      </c>
      <c r="M10" s="11">
        <f>J7/J10</f>
        <v>8.9966384241146669E-2</v>
      </c>
    </row>
    <row r="11" spans="1:13" x14ac:dyDescent="0.3">
      <c r="B11" s="86"/>
      <c r="C11" s="86"/>
      <c r="D11" s="86"/>
      <c r="E11" s="86"/>
      <c r="F11" s="86"/>
    </row>
  </sheetData>
  <pageMargins left="0.70000000000000007" right="0.70000000000000007" top="0.75" bottom="0.75" header="0.30000000000000004" footer="0.3000000000000000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9B3A-B85C-4ACC-8132-6E63D55DD9D3}">
  <dimension ref="A1:F9"/>
  <sheetViews>
    <sheetView workbookViewId="0"/>
  </sheetViews>
  <sheetFormatPr baseColWidth="10" defaultRowHeight="14.4" x14ac:dyDescent="0.3"/>
  <cols>
    <col min="1" max="1" width="22.109375" customWidth="1"/>
    <col min="2" max="2" width="15.6640625" customWidth="1"/>
    <col min="3" max="3" width="13.88671875" customWidth="1"/>
  </cols>
  <sheetData>
    <row r="1" spans="1:6" ht="15.6" x14ac:dyDescent="0.3">
      <c r="A1" s="5" t="s">
        <v>99</v>
      </c>
    </row>
    <row r="2" spans="1:6" ht="15.6" x14ac:dyDescent="0.3">
      <c r="A2" s="5"/>
    </row>
    <row r="3" spans="1:6" x14ac:dyDescent="0.3">
      <c r="A3" t="s">
        <v>27</v>
      </c>
    </row>
    <row r="5" spans="1:6" x14ac:dyDescent="0.3">
      <c r="A5" s="8" t="s">
        <v>2</v>
      </c>
      <c r="B5" s="30" t="s">
        <v>14</v>
      </c>
      <c r="C5" s="30" t="s">
        <v>0</v>
      </c>
    </row>
    <row r="6" spans="1:6" x14ac:dyDescent="0.3">
      <c r="A6" s="36">
        <v>0.97</v>
      </c>
      <c r="B6" s="4">
        <v>-0.19</v>
      </c>
      <c r="C6" s="4">
        <v>2.12</v>
      </c>
    </row>
    <row r="8" spans="1:6" x14ac:dyDescent="0.3">
      <c r="A8" s="8" t="s">
        <v>61</v>
      </c>
      <c r="B8" s="8" t="s">
        <v>62</v>
      </c>
      <c r="C8" s="2" t="s">
        <v>15</v>
      </c>
      <c r="D8" s="6" t="s">
        <v>1</v>
      </c>
      <c r="E8" s="2" t="s">
        <v>14</v>
      </c>
      <c r="F8" s="2" t="s">
        <v>13</v>
      </c>
    </row>
    <row r="9" spans="1:6" x14ac:dyDescent="0.3">
      <c r="A9" s="36">
        <v>7.2</v>
      </c>
      <c r="B9" s="36">
        <v>17.399999999999999</v>
      </c>
      <c r="C9" s="2">
        <f>(A9+B9)^0.5</f>
        <v>4.9598387070548977</v>
      </c>
      <c r="D9" s="6">
        <f>A6/(A9+B9)^0.5</f>
        <v>0.19557087584728661</v>
      </c>
      <c r="E9" s="6">
        <f>B6/C9</f>
        <v>-3.8307697330911814E-2</v>
      </c>
      <c r="F9" s="6">
        <f>C6/C9</f>
        <v>0.42743325442912128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BB5-9197-42BB-9CF0-0E9679B08B75}">
  <dimension ref="A1:L14"/>
  <sheetViews>
    <sheetView tabSelected="1" workbookViewId="0">
      <selection activeCell="M12" sqref="M12"/>
    </sheetView>
  </sheetViews>
  <sheetFormatPr baseColWidth="10" defaultRowHeight="14.4" x14ac:dyDescent="0.3"/>
  <cols>
    <col min="1" max="1" width="4.77734375" customWidth="1"/>
    <col min="2" max="2" width="25.5546875" customWidth="1"/>
    <col min="3" max="3" width="14.33203125" customWidth="1"/>
    <col min="4" max="4" width="11.33203125" customWidth="1"/>
    <col min="7" max="7" width="3.44140625" customWidth="1"/>
  </cols>
  <sheetData>
    <row r="1" spans="1:12" ht="15.6" x14ac:dyDescent="0.3">
      <c r="A1" s="9" t="s">
        <v>135</v>
      </c>
      <c r="C1" s="33"/>
      <c r="D1" s="33"/>
      <c r="E1" s="72"/>
      <c r="F1" s="33"/>
      <c r="G1" s="33"/>
      <c r="I1" s="92"/>
    </row>
    <row r="2" spans="1:12" x14ac:dyDescent="0.3">
      <c r="C2" s="33"/>
      <c r="D2" s="33"/>
      <c r="E2" s="72"/>
      <c r="F2" s="33"/>
      <c r="G2" s="33"/>
    </row>
    <row r="3" spans="1:12" ht="72" x14ac:dyDescent="0.3">
      <c r="A3" s="33"/>
      <c r="C3" s="78" t="s">
        <v>61</v>
      </c>
      <c r="D3" s="78" t="s">
        <v>62</v>
      </c>
      <c r="E3" s="87" t="s">
        <v>108</v>
      </c>
      <c r="F3" s="78" t="s">
        <v>109</v>
      </c>
      <c r="G3" s="88"/>
      <c r="H3" s="99" t="s">
        <v>147</v>
      </c>
      <c r="J3" s="90" t="s">
        <v>137</v>
      </c>
      <c r="K3" s="91" t="s">
        <v>136</v>
      </c>
      <c r="L3" s="93" t="s">
        <v>148</v>
      </c>
    </row>
    <row r="4" spans="1:12" x14ac:dyDescent="0.3">
      <c r="A4" s="2" t="s">
        <v>33</v>
      </c>
      <c r="B4" s="73" t="s">
        <v>34</v>
      </c>
      <c r="C4" s="4">
        <v>3.9209999999999998</v>
      </c>
      <c r="D4" s="4">
        <v>14.695</v>
      </c>
      <c r="E4" s="74">
        <f>C4/(C4+D4)</f>
        <v>0.21062526858616243</v>
      </c>
      <c r="F4" s="4">
        <v>0.22</v>
      </c>
      <c r="G4" s="89"/>
      <c r="H4" s="94" t="s">
        <v>143</v>
      </c>
      <c r="I4" s="94"/>
      <c r="J4" s="4">
        <v>6</v>
      </c>
      <c r="K4" s="4">
        <v>0</v>
      </c>
    </row>
    <row r="5" spans="1:12" x14ac:dyDescent="0.3">
      <c r="A5" s="2" t="s">
        <v>35</v>
      </c>
      <c r="B5" s="73" t="s">
        <v>36</v>
      </c>
      <c r="C5" s="4">
        <f>1.778^2</f>
        <v>3.1612840000000002</v>
      </c>
      <c r="D5" s="4">
        <f>2.553^2</f>
        <v>6.5178089999999997</v>
      </c>
      <c r="E5" s="75">
        <f t="shared" ref="E5:E13" si="0">C5/(C5+D5)</f>
        <v>0.32660952839279467</v>
      </c>
      <c r="F5" s="4">
        <v>0.32700000000000001</v>
      </c>
      <c r="G5" s="89"/>
      <c r="H5" s="95" t="s">
        <v>144</v>
      </c>
      <c r="I5" s="95"/>
      <c r="J5" s="4">
        <v>6.6</v>
      </c>
      <c r="K5" s="4">
        <v>6.6</v>
      </c>
    </row>
    <row r="6" spans="1:12" x14ac:dyDescent="0.3">
      <c r="A6" s="76" t="s">
        <v>43</v>
      </c>
      <c r="B6" s="73" t="s">
        <v>110</v>
      </c>
      <c r="C6" s="4">
        <v>2.8839999999999999</v>
      </c>
      <c r="D6" s="4">
        <v>36.317999999999998</v>
      </c>
      <c r="E6" s="75">
        <f t="shared" si="0"/>
        <v>7.3567675118616394E-2</v>
      </c>
      <c r="F6" s="4">
        <v>7.3999999999999996E-2</v>
      </c>
      <c r="G6" s="89"/>
      <c r="H6" s="94" t="s">
        <v>145</v>
      </c>
      <c r="I6" s="94"/>
      <c r="J6" s="4">
        <v>10.7</v>
      </c>
      <c r="K6" s="4">
        <v>10.3</v>
      </c>
    </row>
    <row r="7" spans="1:12" x14ac:dyDescent="0.3">
      <c r="A7" s="76"/>
      <c r="B7" s="77" t="s">
        <v>111</v>
      </c>
      <c r="C7" s="4">
        <v>8.5229999999999997</v>
      </c>
      <c r="D7" s="4">
        <v>103.83199999999999</v>
      </c>
      <c r="E7" s="75">
        <f t="shared" si="0"/>
        <v>7.5857772239775717E-2</v>
      </c>
      <c r="F7" s="4" t="s">
        <v>112</v>
      </c>
      <c r="G7" s="89"/>
      <c r="H7" s="95" t="s">
        <v>146</v>
      </c>
      <c r="I7" s="95"/>
      <c r="J7" s="4">
        <v>38.4</v>
      </c>
      <c r="K7" s="4">
        <v>38.299999999999997</v>
      </c>
    </row>
    <row r="8" spans="1:12" x14ac:dyDescent="0.3">
      <c r="A8" s="2" t="s">
        <v>47</v>
      </c>
      <c r="B8" s="73" t="s">
        <v>48</v>
      </c>
      <c r="C8" s="4">
        <v>4.2</v>
      </c>
      <c r="D8" s="4">
        <v>20.6</v>
      </c>
      <c r="E8" s="74">
        <f t="shared" si="0"/>
        <v>0.16935483870967744</v>
      </c>
      <c r="F8" s="4">
        <v>0.17</v>
      </c>
      <c r="G8" s="89"/>
      <c r="H8" s="96" t="s">
        <v>105</v>
      </c>
      <c r="I8" s="96"/>
      <c r="J8" s="2">
        <f>SUM(J4:J7)</f>
        <v>61.699999999999996</v>
      </c>
      <c r="K8" s="2">
        <f>SUM(K4:K7)</f>
        <v>55.199999999999996</v>
      </c>
    </row>
    <row r="9" spans="1:12" ht="28.8" x14ac:dyDescent="0.3">
      <c r="A9" s="76" t="s">
        <v>49</v>
      </c>
      <c r="B9" s="73" t="s">
        <v>113</v>
      </c>
      <c r="C9" s="4">
        <v>21.51</v>
      </c>
      <c r="D9" s="4">
        <v>268.39999999999998</v>
      </c>
      <c r="E9" s="75">
        <f t="shared" si="0"/>
        <v>7.4195439964126808E-2</v>
      </c>
      <c r="F9" s="4">
        <v>7.3999999999999996E-2</v>
      </c>
      <c r="G9" s="89"/>
      <c r="H9" s="97" t="s">
        <v>138</v>
      </c>
      <c r="I9" s="2" t="s">
        <v>140</v>
      </c>
      <c r="J9" s="74">
        <f>J4/$J$8</f>
        <v>9.7244732576985418E-2</v>
      </c>
      <c r="K9" s="74">
        <f>K4/$K$8</f>
        <v>0</v>
      </c>
      <c r="L9" s="98">
        <v>0.06</v>
      </c>
    </row>
    <row r="10" spans="1:12" x14ac:dyDescent="0.3">
      <c r="A10" s="76"/>
      <c r="B10" s="73" t="s">
        <v>114</v>
      </c>
      <c r="C10" s="4">
        <v>5.34</v>
      </c>
      <c r="D10" s="4">
        <v>108.94</v>
      </c>
      <c r="E10" s="75">
        <f t="shared" si="0"/>
        <v>4.6727336366818341E-2</v>
      </c>
      <c r="F10" s="4">
        <v>4.7E-2</v>
      </c>
      <c r="G10" s="89"/>
      <c r="H10" s="97"/>
      <c r="I10" s="2" t="s">
        <v>141</v>
      </c>
      <c r="J10" s="74">
        <f t="shared" ref="J10:J11" si="1">J5/$J$8</f>
        <v>0.10696920583468396</v>
      </c>
      <c r="K10" s="74">
        <f t="shared" ref="K10:K11" si="2">K5/$K$8</f>
        <v>0.11956521739130435</v>
      </c>
      <c r="L10" s="98">
        <v>0.25</v>
      </c>
    </row>
    <row r="11" spans="1:12" ht="28.8" x14ac:dyDescent="0.3">
      <c r="A11" s="76"/>
      <c r="B11" s="73" t="s">
        <v>115</v>
      </c>
      <c r="C11" s="4">
        <v>36.4</v>
      </c>
      <c r="D11" s="4">
        <v>333.37</v>
      </c>
      <c r="E11" s="75">
        <f t="shared" si="0"/>
        <v>9.8439570543851579E-2</v>
      </c>
      <c r="F11" s="4">
        <v>9.8000000000000004E-2</v>
      </c>
      <c r="G11" s="89"/>
      <c r="H11" s="97"/>
      <c r="I11" s="2" t="s">
        <v>139</v>
      </c>
      <c r="J11" s="74">
        <f t="shared" si="1"/>
        <v>0.17341977309562398</v>
      </c>
      <c r="K11" s="74">
        <f t="shared" si="2"/>
        <v>0.18659420289855075</v>
      </c>
      <c r="L11" s="98">
        <v>0.09</v>
      </c>
    </row>
    <row r="12" spans="1:12" x14ac:dyDescent="0.3">
      <c r="A12" s="76"/>
      <c r="B12" s="73" t="s">
        <v>116</v>
      </c>
      <c r="C12" s="4">
        <v>7.12</v>
      </c>
      <c r="D12" s="4">
        <v>90.88</v>
      </c>
      <c r="E12" s="75">
        <f t="shared" si="0"/>
        <v>7.2653061224489793E-2</v>
      </c>
      <c r="F12" s="4">
        <v>7.2999999999999995E-2</v>
      </c>
      <c r="G12" s="89"/>
      <c r="H12" t="s">
        <v>142</v>
      </c>
    </row>
    <row r="13" spans="1:12" ht="28.8" x14ac:dyDescent="0.3">
      <c r="A13" s="2" t="s">
        <v>50</v>
      </c>
      <c r="B13" s="73" t="s">
        <v>51</v>
      </c>
      <c r="C13" s="4">
        <v>7.2</v>
      </c>
      <c r="D13" s="4">
        <v>17.399999999999999</v>
      </c>
      <c r="E13" s="74">
        <f t="shared" si="0"/>
        <v>0.29268292682926833</v>
      </c>
      <c r="F13" s="4">
        <v>0.28999999999999998</v>
      </c>
      <c r="G13" s="89"/>
    </row>
    <row r="14" spans="1:12" x14ac:dyDescent="0.3">
      <c r="A14" s="33"/>
      <c r="C14" s="33"/>
      <c r="D14" s="33"/>
      <c r="E14" s="72"/>
      <c r="F14" s="33"/>
      <c r="G14" s="33"/>
    </row>
  </sheetData>
  <mergeCells count="8">
    <mergeCell ref="A6:A7"/>
    <mergeCell ref="A9:A12"/>
    <mergeCell ref="H4:I4"/>
    <mergeCell ref="H5:I5"/>
    <mergeCell ref="H6:I6"/>
    <mergeCell ref="H7:I7"/>
    <mergeCell ref="H8:I8"/>
    <mergeCell ref="H9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A- 1stclass</vt:lpstr>
      <vt:lpstr>B - Affordable </vt:lpstr>
      <vt:lpstr>C1-Ark Mastery</vt:lpstr>
      <vt:lpstr>C2-Ark Mastery</vt:lpstr>
      <vt:lpstr>D-Catch up</vt:lpstr>
      <vt:lpstr>F-ICCAMS</vt:lpstr>
      <vt:lpstr>G-Mathematical R</vt:lpstr>
      <vt:lpstr>H-Maths Champion</vt:lpstr>
      <vt:lpstr>I-Shared Math</vt:lpstr>
      <vt:lpstr>J-Tutor Trust</vt:lpstr>
      <vt:lpstr>Coefficients ICC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2023-05-20T17:02:13Z</dcterms:created>
  <dcterms:modified xsi:type="dcterms:W3CDTF">2024-04-06T08:48:23Z</dcterms:modified>
</cp:coreProperties>
</file>